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agioneria\Consorzio Vigilanza Boschiva\Delibere\Giunta\2015\03 - 23.12.2015\Allegati\"/>
    </mc:Choice>
  </mc:AlternateContent>
  <bookViews>
    <workbookView xWindow="360" yWindow="60" windowWidth="11340" windowHeight="6810" tabRatio="361"/>
  </bookViews>
  <sheets>
    <sheet name="tfr" sheetId="1" r:id="rId1"/>
    <sheet name="inadel" sheetId="5" r:id="rId2"/>
  </sheets>
  <definedNames>
    <definedName name="_xlnm.Print_Titles" localSheetId="0">tfr!$A:$A</definedName>
  </definedNames>
  <calcPr calcId="152511" iterate="1"/>
</workbook>
</file>

<file path=xl/calcChain.xml><?xml version="1.0" encoding="utf-8"?>
<calcChain xmlns="http://schemas.openxmlformats.org/spreadsheetml/2006/main">
  <c r="H15" i="1" l="1"/>
  <c r="H21" i="1" s="1"/>
  <c r="B15" i="1"/>
  <c r="B21" i="1" s="1"/>
  <c r="G15" i="1"/>
  <c r="G21" i="1" s="1"/>
  <c r="K2" i="5"/>
  <c r="P12" i="5"/>
  <c r="F8" i="5"/>
  <c r="E8" i="5"/>
  <c r="D8" i="5"/>
  <c r="C8" i="5"/>
  <c r="K3" i="5"/>
  <c r="A9" i="5" s="1"/>
  <c r="H12" i="5"/>
  <c r="H11" i="5"/>
  <c r="H18" i="5"/>
  <c r="H10" i="5"/>
  <c r="H15" i="5"/>
  <c r="H20" i="5"/>
  <c r="H14" i="5"/>
  <c r="H17" i="5"/>
  <c r="H19" i="5"/>
  <c r="H13" i="5"/>
  <c r="H16" i="5"/>
  <c r="H2" i="5"/>
  <c r="F15" i="1"/>
  <c r="F21" i="1"/>
  <c r="E15" i="1"/>
  <c r="E21" i="1" s="1"/>
  <c r="E35" i="5"/>
  <c r="C29" i="5"/>
  <c r="E29" i="5" s="1"/>
  <c r="E36" i="5" s="1"/>
  <c r="D15" i="1"/>
  <c r="D21" i="1"/>
  <c r="C15" i="1"/>
  <c r="C21" i="1" s="1"/>
  <c r="B28" i="1"/>
  <c r="B30" i="1" s="1"/>
  <c r="B29" i="1"/>
  <c r="B31" i="1" l="1"/>
  <c r="B33" i="1"/>
  <c r="C7" i="1" s="1"/>
  <c r="J9" i="5"/>
  <c r="I9" i="5"/>
  <c r="E41" i="5"/>
  <c r="I29" i="5" s="1"/>
  <c r="E37" i="5"/>
  <c r="A10" i="5"/>
  <c r="K4" i="5"/>
  <c r="K5" i="5" s="1"/>
  <c r="C36" i="5"/>
  <c r="C37" i="5" l="1"/>
  <c r="C38" i="5" s="1"/>
  <c r="A11" i="5"/>
  <c r="C10" i="5"/>
  <c r="J10" i="5"/>
  <c r="I10" i="5"/>
  <c r="E10" i="5"/>
  <c r="D10" i="5"/>
  <c r="F10" i="5"/>
  <c r="E38" i="5"/>
  <c r="E39" i="5" s="1"/>
  <c r="C28" i="1"/>
  <c r="G10" i="5" l="1"/>
  <c r="C29" i="1"/>
  <c r="C30" i="1" s="1"/>
  <c r="C11" i="5"/>
  <c r="J11" i="5"/>
  <c r="I11" i="5"/>
  <c r="E11" i="5"/>
  <c r="F11" i="5"/>
  <c r="D11" i="5"/>
  <c r="A12" i="5"/>
  <c r="C39" i="5"/>
  <c r="C31" i="1" l="1"/>
  <c r="C33" i="1"/>
  <c r="D7" i="1" s="1"/>
  <c r="G11" i="5"/>
  <c r="A13" i="5"/>
  <c r="C12" i="5"/>
  <c r="J12" i="5"/>
  <c r="E12" i="5"/>
  <c r="D12" i="5"/>
  <c r="I12" i="5"/>
  <c r="F12" i="5"/>
  <c r="D13" i="5" l="1"/>
  <c r="F13" i="5"/>
  <c r="E13" i="5"/>
  <c r="J13" i="5"/>
  <c r="I13" i="5"/>
  <c r="C13" i="5"/>
  <c r="G13" i="5" s="1"/>
  <c r="A14" i="5"/>
  <c r="G12" i="5"/>
  <c r="D28" i="1"/>
  <c r="F14" i="5" l="1"/>
  <c r="J14" i="5"/>
  <c r="E14" i="5"/>
  <c r="D14" i="5"/>
  <c r="A15" i="5"/>
  <c r="C14" i="5"/>
  <c r="G14" i="5" s="1"/>
  <c r="I14" i="5"/>
  <c r="D29" i="1"/>
  <c r="D30" i="1" s="1"/>
  <c r="D31" i="1" l="1"/>
  <c r="D33" i="1"/>
  <c r="E7" i="1" s="1"/>
  <c r="D15" i="5"/>
  <c r="A16" i="5"/>
  <c r="C15" i="5"/>
  <c r="G15" i="5" s="1"/>
  <c r="F15" i="5"/>
  <c r="J15" i="5"/>
  <c r="I15" i="5"/>
  <c r="E15" i="5"/>
  <c r="I16" i="5" l="1"/>
  <c r="D16" i="5"/>
  <c r="A17" i="5"/>
  <c r="C16" i="5"/>
  <c r="J16" i="5"/>
  <c r="F16" i="5"/>
  <c r="E16" i="5"/>
  <c r="E28" i="1"/>
  <c r="G16" i="5" l="1"/>
  <c r="A18" i="5"/>
  <c r="C17" i="5"/>
  <c r="J17" i="5"/>
  <c r="I17" i="5"/>
  <c r="F17" i="5"/>
  <c r="D17" i="5"/>
  <c r="E17" i="5"/>
  <c r="E29" i="1"/>
  <c r="E30" i="1" s="1"/>
  <c r="E31" i="1" l="1"/>
  <c r="E33" i="1"/>
  <c r="F7" i="1" s="1"/>
  <c r="A19" i="5"/>
  <c r="E18" i="5"/>
  <c r="D18" i="5"/>
  <c r="C18" i="5"/>
  <c r="F18" i="5"/>
  <c r="J18" i="5"/>
  <c r="G17" i="5"/>
  <c r="D19" i="5" l="1"/>
  <c r="A20" i="5"/>
  <c r="F19" i="5"/>
  <c r="J19" i="5"/>
  <c r="E19" i="5"/>
  <c r="I19" i="5"/>
  <c r="C19" i="5"/>
  <c r="G19" i="5" s="1"/>
  <c r="F28" i="1"/>
  <c r="G18" i="5"/>
  <c r="I18" i="5" s="1"/>
  <c r="I20" i="5" l="1"/>
  <c r="C20" i="5"/>
  <c r="J20" i="5"/>
  <c r="F20" i="5"/>
  <c r="E20" i="5"/>
  <c r="D20" i="5"/>
  <c r="A21" i="5"/>
  <c r="F29" i="1"/>
  <c r="F30" i="1" s="1"/>
  <c r="F31" i="1" l="1"/>
  <c r="F33" i="1"/>
  <c r="G7" i="1" s="1"/>
  <c r="G20" i="5"/>
  <c r="B21" i="5"/>
  <c r="H21" i="5" l="1"/>
  <c r="J21" i="5" s="1"/>
  <c r="J22" i="5" s="1"/>
  <c r="B9" i="5"/>
  <c r="D21" i="5"/>
  <c r="F21" i="5"/>
  <c r="C21" i="5"/>
  <c r="E21" i="5"/>
  <c r="G28" i="1"/>
  <c r="G29" i="1" l="1"/>
  <c r="G30" i="1" s="1"/>
  <c r="G21" i="5"/>
  <c r="I21" i="5" s="1"/>
  <c r="I22" i="5" s="1"/>
  <c r="H9" i="5"/>
  <c r="H22" i="5" s="1"/>
  <c r="E9" i="5"/>
  <c r="E22" i="5" s="1"/>
  <c r="D9" i="5"/>
  <c r="D22" i="5" s="1"/>
  <c r="F9" i="5"/>
  <c r="F22" i="5" s="1"/>
  <c r="C9" i="5"/>
  <c r="G31" i="1" l="1"/>
  <c r="G33" i="1"/>
  <c r="H7" i="1" s="1"/>
  <c r="C22" i="5"/>
  <c r="G9" i="5"/>
  <c r="G22" i="5" s="1"/>
  <c r="H24" i="5" s="1"/>
  <c r="I28" i="5" s="1"/>
  <c r="I30" i="5" s="1"/>
  <c r="H36" i="1" s="1"/>
  <c r="H28" i="1" l="1"/>
  <c r="H29" i="1" l="1"/>
  <c r="H30" i="1"/>
  <c r="H31" i="1" l="1"/>
  <c r="H33" i="1"/>
  <c r="H35" i="1" s="1"/>
  <c r="H37" i="1" l="1"/>
  <c r="H40" i="1"/>
  <c r="H41" i="1" s="1"/>
</calcChain>
</file>

<file path=xl/sharedStrings.xml><?xml version="1.0" encoding="utf-8"?>
<sst xmlns="http://schemas.openxmlformats.org/spreadsheetml/2006/main" count="79" uniqueCount="72">
  <si>
    <t>Dipendente</t>
  </si>
  <si>
    <t>iis</t>
  </si>
  <si>
    <t>tfr al 1/1</t>
  </si>
  <si>
    <t>accantonamento</t>
  </si>
  <si>
    <t>anno</t>
  </si>
  <si>
    <t>importo rivalutazione</t>
  </si>
  <si>
    <t>assunto</t>
  </si>
  <si>
    <t>mesi</t>
  </si>
  <si>
    <t>rivalutazione annua netta</t>
  </si>
  <si>
    <t>totale percepito</t>
  </si>
  <si>
    <t>da detrarre</t>
  </si>
  <si>
    <t>anticipi TFR</t>
  </si>
  <si>
    <t>tfr totale al 31/12</t>
  </si>
  <si>
    <t>tassazione rival. dal 2001</t>
  </si>
  <si>
    <t>quota laborfonds</t>
  </si>
  <si>
    <t>emolumenti percepiti</t>
  </si>
  <si>
    <t>accantonamento TFR</t>
  </si>
  <si>
    <t>totale accantonato</t>
  </si>
  <si>
    <t>data di riferimento</t>
  </si>
  <si>
    <t>coefficiente di rivalutazione</t>
  </si>
  <si>
    <t>somma rivalutazioni nette</t>
  </si>
  <si>
    <t>giorni</t>
  </si>
  <si>
    <t>totale</t>
  </si>
  <si>
    <t>stipendi inadel</t>
  </si>
  <si>
    <t>tot no iis</t>
  </si>
  <si>
    <t>13^</t>
  </si>
  <si>
    <t>tot gen</t>
  </si>
  <si>
    <t>ips</t>
  </si>
  <si>
    <t>rivalutazioni</t>
  </si>
  <si>
    <t>dal</t>
  </si>
  <si>
    <t>al</t>
  </si>
  <si>
    <t>maturato</t>
  </si>
  <si>
    <t>totale annuo</t>
  </si>
  <si>
    <t>posizione</t>
  </si>
  <si>
    <t>ultimo giorno</t>
  </si>
  <si>
    <t>riferimento</t>
  </si>
  <si>
    <t>gg primo mese</t>
  </si>
  <si>
    <t>mesi prima tred</t>
  </si>
  <si>
    <t>mese</t>
  </si>
  <si>
    <t>13^ iis</t>
  </si>
  <si>
    <t>Totali</t>
  </si>
  <si>
    <t>ore</t>
  </si>
  <si>
    <t>giorni360</t>
  </si>
  <si>
    <t>giorni rapportati</t>
  </si>
  <si>
    <t>tot</t>
  </si>
  <si>
    <t>pari ad anni</t>
  </si>
  <si>
    <t>anni arrot.</t>
  </si>
  <si>
    <t>importo ultimo anno</t>
  </si>
  <si>
    <t>anni al 31/12/10</t>
  </si>
  <si>
    <t>di cui inpdap</t>
  </si>
  <si>
    <t>di cui comune</t>
  </si>
  <si>
    <t>TFR totale</t>
  </si>
  <si>
    <t>voci base</t>
  </si>
  <si>
    <t>voci no tred</t>
  </si>
  <si>
    <t>voci che non maturano rateo di tredicesima</t>
  </si>
  <si>
    <t>vigili urbani</t>
  </si>
  <si>
    <t>ind polizia locale</t>
  </si>
  <si>
    <t>ind coordinatore pm</t>
  </si>
  <si>
    <t>ind ufficiale pg</t>
  </si>
  <si>
    <t>custodi forestali</t>
  </si>
  <si>
    <t>ind vigilanza</t>
  </si>
  <si>
    <t>cuochi</t>
  </si>
  <si>
    <t>ind cuochi HACCP</t>
  </si>
  <si>
    <t>ausiliari</t>
  </si>
  <si>
    <t>ind personale ausiliario</t>
  </si>
  <si>
    <t>anzianità di servizio</t>
  </si>
  <si>
    <t>anticipo</t>
  </si>
  <si>
    <t>Mussi Ausilio</t>
  </si>
  <si>
    <t>calcolo al</t>
  </si>
  <si>
    <t>cb4</t>
  </si>
  <si>
    <t>Allegato alla deliberazione Giunta Consorziale 
n. 10/2015 dd. 23.12.2015</t>
  </si>
  <si>
    <t>Il Segretario Consorziale
dott. Diego Viviani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</si>
</sst>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0.000000%"/>
    <numFmt numFmtId="165" formatCode="_-* #,##0.00_-;\-* #,##0.00_-;_-* &quot;-&quot;_-;_-@_-"/>
    <numFmt numFmtId="166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Border="1"/>
    <xf numFmtId="3" fontId="0" fillId="0" borderId="0" xfId="0" applyNumberFormat="1"/>
    <xf numFmtId="41" fontId="0" fillId="0" borderId="0" xfId="2" applyFont="1"/>
    <xf numFmtId="0" fontId="0" fillId="0" borderId="1" xfId="0" applyBorder="1"/>
    <xf numFmtId="14" fontId="0" fillId="0" borderId="1" xfId="2" applyNumberFormat="1" applyFont="1" applyBorder="1"/>
    <xf numFmtId="0" fontId="0" fillId="0" borderId="1" xfId="0" applyBorder="1" applyAlignment="1">
      <alignment horizontal="right"/>
    </xf>
    <xf numFmtId="165" fontId="0" fillId="0" borderId="1" xfId="2" applyNumberFormat="1" applyFont="1" applyBorder="1"/>
    <xf numFmtId="43" fontId="3" fillId="0" borderId="2" xfId="1" applyFont="1" applyFill="1" applyBorder="1" applyAlignment="1" applyProtection="1"/>
    <xf numFmtId="43" fontId="0" fillId="0" borderId="0" xfId="1" applyFont="1"/>
    <xf numFmtId="43" fontId="0" fillId="0" borderId="0" xfId="0" applyNumberFormat="1"/>
    <xf numFmtId="3" fontId="1" fillId="0" borderId="1" xfId="0" applyNumberFormat="1" applyFont="1" applyFill="1" applyBorder="1" applyAlignment="1" applyProtection="1"/>
    <xf numFmtId="43" fontId="1" fillId="0" borderId="1" xfId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43" fontId="3" fillId="0" borderId="1" xfId="1" applyFont="1" applyFill="1" applyBorder="1" applyAlignment="1" applyProtection="1"/>
    <xf numFmtId="43" fontId="0" fillId="0" borderId="0" xfId="1" applyFont="1" applyBorder="1"/>
    <xf numFmtId="0" fontId="1" fillId="0" borderId="2" xfId="0" applyNumberFormat="1" applyFont="1" applyFill="1" applyBorder="1" applyAlignment="1" applyProtection="1"/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0" fillId="0" borderId="0" xfId="0" quotePrefix="1" applyNumberFormat="1"/>
    <xf numFmtId="0" fontId="0" fillId="0" borderId="0" xfId="0" quotePrefix="1"/>
    <xf numFmtId="0" fontId="0" fillId="0" borderId="0" xfId="1" applyNumberFormat="1" applyFont="1"/>
    <xf numFmtId="0" fontId="4" fillId="0" borderId="1" xfId="0" applyNumberFormat="1" applyFont="1" applyFill="1" applyBorder="1" applyAlignment="1" applyProtection="1"/>
    <xf numFmtId="14" fontId="1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right"/>
    </xf>
    <xf numFmtId="43" fontId="1" fillId="0" borderId="5" xfId="1" applyFont="1" applyFill="1" applyBorder="1" applyAlignment="1" applyProtection="1"/>
    <xf numFmtId="164" fontId="1" fillId="0" borderId="4" xfId="0" applyNumberFormat="1" applyFont="1" applyFill="1" applyBorder="1" applyAlignment="1" applyProtection="1"/>
    <xf numFmtId="0" fontId="7" fillId="2" borderId="6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43" fontId="0" fillId="0" borderId="4" xfId="1" applyFont="1" applyBorder="1"/>
    <xf numFmtId="0" fontId="0" fillId="0" borderId="7" xfId="0" applyBorder="1"/>
    <xf numFmtId="166" fontId="0" fillId="0" borderId="0" xfId="1" applyNumberFormat="1" applyFont="1"/>
    <xf numFmtId="0" fontId="1" fillId="0" borderId="8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3" xfId="0" applyFont="1" applyFill="1" applyBorder="1"/>
    <xf numFmtId="14" fontId="0" fillId="0" borderId="5" xfId="0" applyNumberFormat="1" applyBorder="1"/>
    <xf numFmtId="0" fontId="1" fillId="0" borderId="0" xfId="0" applyFont="1"/>
    <xf numFmtId="0" fontId="3" fillId="0" borderId="0" xfId="0" applyFont="1"/>
    <xf numFmtId="14" fontId="0" fillId="0" borderId="9" xfId="0" applyNumberFormat="1" applyBorder="1"/>
    <xf numFmtId="14" fontId="0" fillId="0" borderId="10" xfId="0" applyNumberFormat="1" applyBorder="1"/>
    <xf numFmtId="43" fontId="0" fillId="0" borderId="10" xfId="1" applyFont="1" applyBorder="1"/>
    <xf numFmtId="43" fontId="0" fillId="0" borderId="11" xfId="1" applyFont="1" applyBorder="1"/>
    <xf numFmtId="43" fontId="3" fillId="0" borderId="0" xfId="1" applyFont="1"/>
    <xf numFmtId="43" fontId="3" fillId="0" borderId="0" xfId="1" applyFont="1" applyFill="1" applyBorder="1" applyAlignment="1" applyProtection="1"/>
    <xf numFmtId="10" fontId="0" fillId="0" borderId="0" xfId="4" applyNumberFormat="1" applyFont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14" fontId="1" fillId="0" borderId="18" xfId="0" applyNumberFormat="1" applyFont="1" applyFill="1" applyBorder="1"/>
    <xf numFmtId="0" fontId="1" fillId="0" borderId="19" xfId="0" applyFont="1" applyFill="1" applyBorder="1"/>
    <xf numFmtId="43" fontId="1" fillId="0" borderId="19" xfId="1" applyNumberFormat="1" applyFont="1" applyFill="1" applyBorder="1"/>
    <xf numFmtId="43" fontId="1" fillId="0" borderId="20" xfId="1" applyNumberFormat="1" applyFont="1" applyFill="1" applyBorder="1"/>
    <xf numFmtId="43" fontId="1" fillId="0" borderId="21" xfId="1" applyNumberFormat="1" applyFont="1" applyFill="1" applyBorder="1"/>
    <xf numFmtId="14" fontId="0" fillId="0" borderId="0" xfId="1" applyNumberFormat="1" applyFont="1"/>
    <xf numFmtId="0" fontId="1" fillId="0" borderId="0" xfId="0" applyFont="1" applyBorder="1"/>
    <xf numFmtId="14" fontId="0" fillId="0" borderId="0" xfId="0" applyNumberFormat="1" applyBorder="1"/>
    <xf numFmtId="43" fontId="1" fillId="0" borderId="0" xfId="1" applyNumberFormat="1" applyFont="1" applyFill="1" applyBorder="1"/>
    <xf numFmtId="0" fontId="1" fillId="0" borderId="12" xfId="0" applyFont="1" applyBorder="1"/>
    <xf numFmtId="43" fontId="1" fillId="0" borderId="12" xfId="1" applyFont="1" applyBorder="1"/>
    <xf numFmtId="14" fontId="0" fillId="0" borderId="7" xfId="0" applyNumberFormat="1" applyBorder="1"/>
    <xf numFmtId="14" fontId="1" fillId="0" borderId="0" xfId="2" applyNumberFormat="1" applyFont="1" applyBorder="1"/>
    <xf numFmtId="0" fontId="0" fillId="0" borderId="10" xfId="0" applyBorder="1"/>
    <xf numFmtId="14" fontId="0" fillId="0" borderId="12" xfId="0" applyNumberFormat="1" applyBorder="1"/>
    <xf numFmtId="0" fontId="0" fillId="0" borderId="12" xfId="0" applyBorder="1"/>
    <xf numFmtId="43" fontId="1" fillId="0" borderId="12" xfId="1" applyFont="1" applyBorder="1" applyAlignment="1">
      <alignment horizontal="right"/>
    </xf>
    <xf numFmtId="43" fontId="1" fillId="0" borderId="0" xfId="1" applyFont="1"/>
    <xf numFmtId="43" fontId="0" fillId="0" borderId="7" xfId="1" applyFont="1" applyBorder="1"/>
    <xf numFmtId="43" fontId="3" fillId="0" borderId="10" xfId="1" applyFont="1" applyBorder="1"/>
    <xf numFmtId="14" fontId="1" fillId="0" borderId="7" xfId="0" applyNumberFormat="1" applyFont="1" applyBorder="1"/>
    <xf numFmtId="43" fontId="0" fillId="0" borderId="3" xfId="1" applyFont="1" applyBorder="1"/>
    <xf numFmtId="43" fontId="0" fillId="0" borderId="5" xfId="1" applyFont="1" applyBorder="1"/>
    <xf numFmtId="0" fontId="0" fillId="0" borderId="9" xfId="0" applyBorder="1"/>
    <xf numFmtId="43" fontId="1" fillId="0" borderId="0" xfId="1" applyFont="1" applyBorder="1"/>
    <xf numFmtId="43" fontId="0" fillId="0" borderId="8" xfId="1" applyFont="1" applyBorder="1"/>
    <xf numFmtId="0" fontId="0" fillId="0" borderId="13" xfId="0" applyBorder="1"/>
    <xf numFmtId="43" fontId="0" fillId="0" borderId="13" xfId="1" applyFont="1" applyFill="1" applyBorder="1"/>
    <xf numFmtId="0" fontId="0" fillId="0" borderId="11" xfId="0" applyBorder="1"/>
    <xf numFmtId="43" fontId="0" fillId="0" borderId="13" xfId="0" applyNumberFormat="1" applyBorder="1"/>
    <xf numFmtId="43" fontId="1" fillId="0" borderId="8" xfId="1" applyFont="1" applyBorder="1"/>
    <xf numFmtId="43" fontId="1" fillId="0" borderId="5" xfId="1" applyFont="1" applyBorder="1"/>
    <xf numFmtId="43" fontId="1" fillId="0" borderId="9" xfId="1" applyFont="1" applyFill="1" applyBorder="1" applyAlignment="1" applyProtection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5">
    <cellStyle name="Migliaia" xfId="1" builtinId="3"/>
    <cellStyle name="Migliaia [0]" xfId="2" builtinId="6"/>
    <cellStyle name="Normale" xfId="0" builtinId="0"/>
    <cellStyle name="Normale 2" xfId="3"/>
    <cellStyle name="Percentual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K43"/>
  <sheetViews>
    <sheetView showGridLines="0" tabSelected="1" zoomScaleNormal="10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40" sqref="A40"/>
    </sheetView>
  </sheetViews>
  <sheetFormatPr defaultRowHeight="12.75" x14ac:dyDescent="0.2"/>
  <cols>
    <col min="1" max="1" width="22.85546875" customWidth="1"/>
    <col min="2" max="2" width="15.42578125" customWidth="1"/>
    <col min="3" max="4" width="10.28515625" bestFit="1" customWidth="1"/>
    <col min="5" max="5" width="12.5703125" style="5" customWidth="1"/>
    <col min="6" max="7" width="10.28515625" bestFit="1" customWidth="1"/>
    <col min="8" max="8" width="10.28515625" style="11" bestFit="1" customWidth="1"/>
    <col min="9" max="9" width="10.28515625" style="5" bestFit="1" customWidth="1"/>
    <col min="10" max="15" width="10.28515625" bestFit="1" customWidth="1"/>
    <col min="16" max="16" width="10.7109375" customWidth="1"/>
    <col min="17" max="18" width="10.28515625" bestFit="1" customWidth="1"/>
    <col min="19" max="19" width="11.140625" bestFit="1" customWidth="1"/>
    <col min="20" max="20" width="10.28515625" bestFit="1" customWidth="1"/>
  </cols>
  <sheetData>
    <row r="1" spans="1:11" x14ac:dyDescent="0.2">
      <c r="A1" t="s">
        <v>0</v>
      </c>
      <c r="B1" t="s">
        <v>6</v>
      </c>
      <c r="C1" s="2">
        <v>28657</v>
      </c>
      <c r="F1" s="11"/>
      <c r="H1" s="61"/>
      <c r="J1" s="4"/>
    </row>
    <row r="2" spans="1:11" x14ac:dyDescent="0.2">
      <c r="A2" s="1" t="s">
        <v>67</v>
      </c>
      <c r="B2" s="43" t="s">
        <v>68</v>
      </c>
      <c r="C2" s="2">
        <v>42094</v>
      </c>
      <c r="F2" s="50"/>
      <c r="K2" s="11"/>
    </row>
    <row r="3" spans="1:11" x14ac:dyDescent="0.2">
      <c r="C3" s="25"/>
      <c r="F3" s="11"/>
    </row>
    <row r="4" spans="1:11" x14ac:dyDescent="0.2">
      <c r="B4" s="51"/>
      <c r="E4"/>
      <c r="H4"/>
      <c r="I4"/>
    </row>
    <row r="5" spans="1:11" x14ac:dyDescent="0.2">
      <c r="A5" s="33" t="s">
        <v>4</v>
      </c>
      <c r="B5" s="20">
        <v>2009</v>
      </c>
      <c r="C5" s="20">
        <v>2010</v>
      </c>
      <c r="D5" s="20">
        <v>2011</v>
      </c>
      <c r="E5" s="20">
        <v>2012</v>
      </c>
      <c r="F5" s="20">
        <v>2013</v>
      </c>
      <c r="G5" s="20">
        <v>2014</v>
      </c>
      <c r="H5" s="20">
        <v>2015</v>
      </c>
      <c r="I5"/>
    </row>
    <row r="6" spans="1:11" x14ac:dyDescent="0.2">
      <c r="A6" s="26"/>
      <c r="B6" s="8"/>
      <c r="C6" s="8"/>
      <c r="D6" s="8"/>
      <c r="E6" s="8"/>
      <c r="F6" s="8"/>
      <c r="G6" s="8"/>
      <c r="H6" s="8"/>
      <c r="I6"/>
    </row>
    <row r="7" spans="1:11" x14ac:dyDescent="0.2">
      <c r="A7" s="27" t="s">
        <v>2</v>
      </c>
      <c r="B7" s="9">
        <v>66998.75</v>
      </c>
      <c r="C7" s="9">
        <f t="shared" ref="C7:H7" si="0">+B33</f>
        <v>70203.040000000008</v>
      </c>
      <c r="D7" s="9">
        <f t="shared" si="0"/>
        <v>73898.69</v>
      </c>
      <c r="E7" s="9">
        <f t="shared" si="0"/>
        <v>78339.020000000019</v>
      </c>
      <c r="F7" s="9">
        <f t="shared" si="0"/>
        <v>82556.910000000018</v>
      </c>
      <c r="G7" s="9">
        <f t="shared" si="0"/>
        <v>85855.580000000016</v>
      </c>
      <c r="H7" s="9">
        <f t="shared" si="0"/>
        <v>88929.71</v>
      </c>
      <c r="I7"/>
    </row>
    <row r="8" spans="1:11" x14ac:dyDescent="0.2">
      <c r="A8" s="27"/>
      <c r="B8" s="9"/>
      <c r="C8" s="9"/>
      <c r="D8" s="9"/>
      <c r="E8" s="9"/>
      <c r="F8" s="9"/>
      <c r="G8" s="9"/>
      <c r="H8" s="9"/>
      <c r="I8"/>
    </row>
    <row r="9" spans="1:11" x14ac:dyDescent="0.2">
      <c r="A9" s="34" t="s">
        <v>15</v>
      </c>
      <c r="B9" s="21"/>
      <c r="C9" s="21"/>
      <c r="D9" s="21"/>
      <c r="E9" s="21"/>
      <c r="F9" s="21"/>
      <c r="G9" s="21"/>
      <c r="H9" s="21"/>
      <c r="I9"/>
    </row>
    <row r="10" spans="1:11" x14ac:dyDescent="0.2">
      <c r="A10" s="27"/>
      <c r="B10" s="9"/>
      <c r="C10" s="9"/>
      <c r="D10" s="9"/>
      <c r="E10" s="9"/>
      <c r="F10" s="9"/>
      <c r="G10" s="9"/>
      <c r="H10" s="9"/>
      <c r="I10"/>
    </row>
    <row r="11" spans="1:11" x14ac:dyDescent="0.2">
      <c r="A11" s="28" t="s">
        <v>9</v>
      </c>
      <c r="B11" s="17">
        <v>30912</v>
      </c>
      <c r="C11" s="17">
        <v>30642.89</v>
      </c>
      <c r="D11" s="17">
        <v>31089.899999999998</v>
      </c>
      <c r="E11" s="17">
        <v>31528.5</v>
      </c>
      <c r="F11" s="17">
        <v>31051.19</v>
      </c>
      <c r="G11" s="17">
        <v>31740.89</v>
      </c>
      <c r="H11" s="17">
        <v>7061.12</v>
      </c>
      <c r="I11"/>
    </row>
    <row r="12" spans="1:11" x14ac:dyDescent="0.2">
      <c r="A12" s="16"/>
      <c r="B12" s="6"/>
      <c r="C12" s="6"/>
      <c r="D12" s="6"/>
      <c r="E12" s="6"/>
      <c r="F12" s="6"/>
      <c r="G12" s="6"/>
      <c r="H12" s="6"/>
      <c r="I12"/>
    </row>
    <row r="13" spans="1:11" x14ac:dyDescent="0.2">
      <c r="A13" s="34" t="s">
        <v>16</v>
      </c>
      <c r="B13" s="21"/>
      <c r="C13" s="21"/>
      <c r="D13" s="21"/>
      <c r="E13" s="21"/>
      <c r="F13" s="21"/>
      <c r="G13" s="21"/>
      <c r="H13" s="21"/>
      <c r="I13"/>
    </row>
    <row r="14" spans="1:11" x14ac:dyDescent="0.2">
      <c r="A14" s="16"/>
      <c r="B14" s="6"/>
      <c r="C14" s="6"/>
      <c r="D14" s="6"/>
      <c r="E14" s="6"/>
      <c r="F14" s="6"/>
      <c r="G14" s="6"/>
      <c r="H14" s="6"/>
      <c r="I14"/>
    </row>
    <row r="15" spans="1:11" x14ac:dyDescent="0.2">
      <c r="A15" s="26" t="s">
        <v>3</v>
      </c>
      <c r="B15" s="15">
        <f t="shared" ref="B15:H15" si="1">ROUND(B11/13.5,2)</f>
        <v>2289.7800000000002</v>
      </c>
      <c r="C15" s="15">
        <f t="shared" si="1"/>
        <v>2269.84</v>
      </c>
      <c r="D15" s="15">
        <f t="shared" si="1"/>
        <v>2302.96</v>
      </c>
      <c r="E15" s="15">
        <f t="shared" si="1"/>
        <v>2335.44</v>
      </c>
      <c r="F15" s="15">
        <f t="shared" si="1"/>
        <v>2300.09</v>
      </c>
      <c r="G15" s="15">
        <f t="shared" si="1"/>
        <v>2351.1799999999998</v>
      </c>
      <c r="H15" s="15">
        <f t="shared" si="1"/>
        <v>523.04999999999995</v>
      </c>
      <c r="I15"/>
    </row>
    <row r="16" spans="1:11" x14ac:dyDescent="0.2">
      <c r="A16" s="29"/>
      <c r="B16" s="15"/>
      <c r="C16" s="15"/>
      <c r="D16" s="15"/>
      <c r="E16" s="15"/>
      <c r="F16" s="15"/>
      <c r="G16" s="15"/>
      <c r="H16" s="15"/>
      <c r="I16"/>
    </row>
    <row r="17" spans="1:9" s="3" customFormat="1" x14ac:dyDescent="0.2">
      <c r="A17" s="29" t="s">
        <v>10</v>
      </c>
      <c r="B17" s="15"/>
      <c r="C17" s="15"/>
      <c r="D17" s="15"/>
      <c r="E17" s="15"/>
      <c r="F17" s="15"/>
      <c r="G17" s="15"/>
      <c r="H17" s="15"/>
    </row>
    <row r="18" spans="1:9" s="3" customFormat="1" x14ac:dyDescent="0.2">
      <c r="A18" s="30" t="s">
        <v>14</v>
      </c>
      <c r="B18" s="14">
        <v>412.18</v>
      </c>
      <c r="C18" s="14">
        <v>408.59</v>
      </c>
      <c r="D18" s="14">
        <v>414.54</v>
      </c>
      <c r="E18" s="14">
        <v>420.38</v>
      </c>
      <c r="F18" s="14">
        <v>414.02</v>
      </c>
      <c r="G18" s="14">
        <v>423.22</v>
      </c>
      <c r="H18" s="14">
        <v>94.15</v>
      </c>
    </row>
    <row r="19" spans="1:9" s="3" customFormat="1" x14ac:dyDescent="0.2">
      <c r="A19" s="30" t="s">
        <v>11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9" x14ac:dyDescent="0.2">
      <c r="A20" s="16"/>
      <c r="B20" s="13"/>
      <c r="C20" s="13"/>
      <c r="D20" s="13"/>
      <c r="E20" s="13"/>
      <c r="F20" s="13"/>
      <c r="G20" s="13"/>
      <c r="H20" s="13"/>
      <c r="I20"/>
    </row>
    <row r="21" spans="1:9" x14ac:dyDescent="0.2">
      <c r="A21" s="28" t="s">
        <v>17</v>
      </c>
      <c r="B21" s="17">
        <f t="shared" ref="B21:H21" si="2">+B15-B18-B19</f>
        <v>1877.6000000000001</v>
      </c>
      <c r="C21" s="17">
        <f t="shared" si="2"/>
        <v>1861.2500000000002</v>
      </c>
      <c r="D21" s="17">
        <f t="shared" si="2"/>
        <v>1888.42</v>
      </c>
      <c r="E21" s="17">
        <f t="shared" si="2"/>
        <v>1915.06</v>
      </c>
      <c r="F21" s="17">
        <f t="shared" si="2"/>
        <v>1886.0700000000002</v>
      </c>
      <c r="G21" s="17">
        <f t="shared" si="2"/>
        <v>1927.9599999999998</v>
      </c>
      <c r="H21" s="17">
        <f t="shared" si="2"/>
        <v>428.9</v>
      </c>
      <c r="I21"/>
    </row>
    <row r="22" spans="1:9" x14ac:dyDescent="0.2">
      <c r="A22" s="16"/>
      <c r="B22" s="13"/>
      <c r="C22" s="13"/>
      <c r="D22" s="13"/>
      <c r="E22" s="13"/>
      <c r="F22" s="13"/>
      <c r="G22" s="13"/>
      <c r="H22" s="13"/>
      <c r="I22"/>
    </row>
    <row r="23" spans="1:9" x14ac:dyDescent="0.2">
      <c r="A23" s="34" t="s">
        <v>28</v>
      </c>
      <c r="B23" s="22"/>
      <c r="C23" s="22"/>
      <c r="D23" s="22"/>
      <c r="E23" s="22"/>
      <c r="F23" s="22"/>
      <c r="G23" s="22"/>
      <c r="H23" s="22"/>
      <c r="I23"/>
    </row>
    <row r="24" spans="1:9" x14ac:dyDescent="0.2">
      <c r="A24" s="16"/>
      <c r="B24" s="13"/>
      <c r="C24" s="13"/>
      <c r="D24" s="13"/>
      <c r="E24" s="13"/>
      <c r="F24" s="13"/>
      <c r="G24" s="13"/>
      <c r="H24" s="13"/>
      <c r="I24"/>
    </row>
    <row r="25" spans="1:9" x14ac:dyDescent="0.2">
      <c r="A25" s="26" t="s">
        <v>18</v>
      </c>
      <c r="B25" s="7">
        <v>40178</v>
      </c>
      <c r="C25" s="7">
        <v>40543</v>
      </c>
      <c r="D25" s="7">
        <v>40908</v>
      </c>
      <c r="E25" s="7">
        <v>41274</v>
      </c>
      <c r="F25" s="7">
        <v>41639</v>
      </c>
      <c r="G25" s="7">
        <v>42004</v>
      </c>
      <c r="H25" s="7">
        <v>42094</v>
      </c>
      <c r="I25"/>
    </row>
    <row r="26" spans="1:9" x14ac:dyDescent="0.2">
      <c r="A26" s="26"/>
      <c r="B26" s="7"/>
      <c r="C26" s="7"/>
      <c r="D26" s="7"/>
      <c r="E26" s="7"/>
      <c r="F26" s="7"/>
      <c r="G26" s="7"/>
      <c r="H26" s="7"/>
      <c r="I26"/>
    </row>
    <row r="27" spans="1:9" x14ac:dyDescent="0.2">
      <c r="A27" s="16" t="s">
        <v>19</v>
      </c>
      <c r="B27" s="32">
        <v>2.2249069999999999E-2</v>
      </c>
      <c r="C27" s="32">
        <v>2.9359349999999999E-2</v>
      </c>
      <c r="D27" s="32">
        <v>3.8800580000000001E-2</v>
      </c>
      <c r="E27" s="32">
        <v>3.3028849999999998E-2</v>
      </c>
      <c r="F27" s="32">
        <v>1.9225349999999999E-2</v>
      </c>
      <c r="G27" s="32">
        <v>1.4999999999999999E-2</v>
      </c>
      <c r="H27" s="32">
        <v>0</v>
      </c>
      <c r="I27"/>
    </row>
    <row r="28" spans="1:9" x14ac:dyDescent="0.2">
      <c r="A28" s="6" t="s">
        <v>5</v>
      </c>
      <c r="B28" s="14">
        <f t="shared" ref="B28:H28" si="3">ROUND(B7*B27,2)</f>
        <v>1490.66</v>
      </c>
      <c r="C28" s="14">
        <f t="shared" si="3"/>
        <v>2061.12</v>
      </c>
      <c r="D28" s="14">
        <f t="shared" si="3"/>
        <v>2867.31</v>
      </c>
      <c r="E28" s="14">
        <f t="shared" si="3"/>
        <v>2587.4499999999998</v>
      </c>
      <c r="F28" s="14">
        <f t="shared" si="3"/>
        <v>1587.19</v>
      </c>
      <c r="G28" s="14">
        <f t="shared" si="3"/>
        <v>1287.83</v>
      </c>
      <c r="H28" s="14">
        <f t="shared" si="3"/>
        <v>0</v>
      </c>
      <c r="I28"/>
    </row>
    <row r="29" spans="1:9" x14ac:dyDescent="0.2">
      <c r="A29" s="6" t="s">
        <v>13</v>
      </c>
      <c r="B29" s="14">
        <f t="shared" ref="B29:H29" si="4">ROUND(B28*11%,2)</f>
        <v>163.97</v>
      </c>
      <c r="C29" s="14">
        <f t="shared" si="4"/>
        <v>226.72</v>
      </c>
      <c r="D29" s="14">
        <f t="shared" si="4"/>
        <v>315.39999999999998</v>
      </c>
      <c r="E29" s="14">
        <f t="shared" si="4"/>
        <v>284.62</v>
      </c>
      <c r="F29" s="14">
        <f t="shared" si="4"/>
        <v>174.59</v>
      </c>
      <c r="G29" s="14">
        <f t="shared" si="4"/>
        <v>141.66</v>
      </c>
      <c r="H29" s="14">
        <f t="shared" si="4"/>
        <v>0</v>
      </c>
      <c r="I29"/>
    </row>
    <row r="30" spans="1:9" x14ac:dyDescent="0.2">
      <c r="A30" s="16" t="s">
        <v>8</v>
      </c>
      <c r="B30" s="17">
        <f t="shared" ref="B30:H30" si="5">+B28-B29</f>
        <v>1326.69</v>
      </c>
      <c r="C30" s="17">
        <f t="shared" si="5"/>
        <v>1834.3999999999999</v>
      </c>
      <c r="D30" s="17">
        <f t="shared" si="5"/>
        <v>2551.91</v>
      </c>
      <c r="E30" s="17">
        <f t="shared" si="5"/>
        <v>2302.83</v>
      </c>
      <c r="F30" s="17">
        <f t="shared" si="5"/>
        <v>1412.6000000000001</v>
      </c>
      <c r="G30" s="17">
        <f t="shared" si="5"/>
        <v>1146.1699999999998</v>
      </c>
      <c r="H30" s="17">
        <f t="shared" si="5"/>
        <v>0</v>
      </c>
      <c r="I30"/>
    </row>
    <row r="31" spans="1:9" x14ac:dyDescent="0.2">
      <c r="A31" s="16" t="s">
        <v>20</v>
      </c>
      <c r="B31" s="17">
        <f>+B30</f>
        <v>1326.69</v>
      </c>
      <c r="C31" s="17">
        <f t="shared" ref="C31:H31" si="6">+C30+B31</f>
        <v>3161.09</v>
      </c>
      <c r="D31" s="17">
        <f t="shared" si="6"/>
        <v>5713</v>
      </c>
      <c r="E31" s="17">
        <f t="shared" si="6"/>
        <v>8015.83</v>
      </c>
      <c r="F31" s="17">
        <f t="shared" si="6"/>
        <v>9428.43</v>
      </c>
      <c r="G31" s="17">
        <f t="shared" si="6"/>
        <v>10574.6</v>
      </c>
      <c r="H31" s="17">
        <f t="shared" si="6"/>
        <v>10574.6</v>
      </c>
      <c r="I31"/>
    </row>
    <row r="32" spans="1:9" x14ac:dyDescent="0.2">
      <c r="A32" s="16"/>
      <c r="B32" s="17"/>
      <c r="C32" s="17"/>
      <c r="D32" s="17"/>
      <c r="E32" s="17"/>
      <c r="F32" s="17"/>
      <c r="G32" s="17"/>
      <c r="H32" s="17"/>
      <c r="I32"/>
    </row>
    <row r="33" spans="1:9" x14ac:dyDescent="0.2">
      <c r="A33" s="19" t="s">
        <v>12</v>
      </c>
      <c r="B33" s="10">
        <f t="shared" ref="B33:H33" si="7">+B7+B15-B18-B19+B30</f>
        <v>70203.040000000008</v>
      </c>
      <c r="C33" s="10">
        <f t="shared" si="7"/>
        <v>73898.69</v>
      </c>
      <c r="D33" s="10">
        <f t="shared" si="7"/>
        <v>78339.020000000019</v>
      </c>
      <c r="E33" s="10">
        <f t="shared" si="7"/>
        <v>82556.910000000018</v>
      </c>
      <c r="F33" s="10">
        <f t="shared" si="7"/>
        <v>85855.580000000016</v>
      </c>
      <c r="G33" s="10">
        <f t="shared" si="7"/>
        <v>88929.71</v>
      </c>
      <c r="H33" s="10">
        <f t="shared" si="7"/>
        <v>89358.610000000015</v>
      </c>
      <c r="I33"/>
    </row>
    <row r="34" spans="1:9" x14ac:dyDescent="0.2">
      <c r="E34"/>
      <c r="H34"/>
      <c r="I34"/>
    </row>
    <row r="35" spans="1:9" x14ac:dyDescent="0.2">
      <c r="E35"/>
      <c r="F35" s="86" t="s">
        <v>51</v>
      </c>
      <c r="G35" s="74"/>
      <c r="H35" s="77">
        <f>+H33</f>
        <v>89358.610000000015</v>
      </c>
      <c r="I35"/>
    </row>
    <row r="36" spans="1:9" ht="12.75" customHeight="1" x14ac:dyDescent="0.2">
      <c r="A36" s="89" t="s">
        <v>70</v>
      </c>
      <c r="B36" s="89"/>
      <c r="C36" s="89"/>
      <c r="F36" s="31" t="s">
        <v>49</v>
      </c>
      <c r="G36" s="18"/>
      <c r="H36" s="35">
        <f>+inadel!I30</f>
        <v>58592.98</v>
      </c>
      <c r="I36"/>
    </row>
    <row r="37" spans="1:9" x14ac:dyDescent="0.2">
      <c r="A37" s="89"/>
      <c r="B37" s="89"/>
      <c r="C37" s="89"/>
      <c r="F37" s="31" t="s">
        <v>50</v>
      </c>
      <c r="G37" s="18"/>
      <c r="H37" s="35">
        <f>+H35-H36</f>
        <v>30765.630000000012</v>
      </c>
      <c r="I37"/>
    </row>
    <row r="38" spans="1:9" x14ac:dyDescent="0.2">
      <c r="A38" s="89" t="s">
        <v>71</v>
      </c>
      <c r="B38" s="90"/>
      <c r="C38" s="90"/>
      <c r="F38" s="78"/>
      <c r="G38" s="80"/>
      <c r="H38" s="35"/>
      <c r="I38"/>
    </row>
    <row r="39" spans="1:9" x14ac:dyDescent="0.2">
      <c r="A39" s="90"/>
      <c r="B39" s="90"/>
      <c r="C39" s="90"/>
      <c r="F39" s="87" t="s">
        <v>66</v>
      </c>
      <c r="G39" s="80"/>
      <c r="H39" s="35">
        <v>8000</v>
      </c>
      <c r="I39"/>
    </row>
    <row r="40" spans="1:9" x14ac:dyDescent="0.2">
      <c r="F40" s="31" t="s">
        <v>49</v>
      </c>
      <c r="G40" s="18"/>
      <c r="H40" s="35">
        <f>ROUND(H39/H35*H36,2)</f>
        <v>5245.65</v>
      </c>
      <c r="I40"/>
    </row>
    <row r="41" spans="1:9" x14ac:dyDescent="0.2">
      <c r="E41"/>
      <c r="F41" s="88" t="s">
        <v>50</v>
      </c>
      <c r="G41" s="47"/>
      <c r="H41" s="48">
        <f>+H39-H40</f>
        <v>2754.3500000000004</v>
      </c>
      <c r="I41"/>
    </row>
    <row r="42" spans="1:9" x14ac:dyDescent="0.2">
      <c r="E42"/>
      <c r="H42"/>
      <c r="I42"/>
    </row>
    <row r="43" spans="1:9" x14ac:dyDescent="0.2">
      <c r="E43"/>
      <c r="H43"/>
      <c r="I43"/>
    </row>
  </sheetData>
  <mergeCells count="2">
    <mergeCell ref="A36:C37"/>
    <mergeCell ref="A38:C39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workbookViewId="0"/>
  </sheetViews>
  <sheetFormatPr defaultRowHeight="12.75" x14ac:dyDescent="0.2"/>
  <cols>
    <col min="1" max="1" width="12.85546875" customWidth="1"/>
    <col min="2" max="2" width="10.140625" bestFit="1" customWidth="1"/>
    <col min="3" max="3" width="12.28515625" customWidth="1"/>
    <col min="4" max="4" width="10.28515625" customWidth="1"/>
    <col min="5" max="5" width="13.85546875" bestFit="1" customWidth="1"/>
    <col min="6" max="7" width="11.28515625" customWidth="1"/>
    <col min="8" max="8" width="11.140625" bestFit="1" customWidth="1"/>
    <col min="9" max="9" width="10.28515625" customWidth="1"/>
    <col min="10" max="10" width="14" bestFit="1" customWidth="1"/>
    <col min="11" max="11" width="10.140625" bestFit="1" customWidth="1"/>
    <col min="12" max="12" width="9.28515625" bestFit="1" customWidth="1"/>
    <col min="14" max="14" width="15.28515625" customWidth="1"/>
    <col min="15" max="15" width="21.42578125" bestFit="1" customWidth="1"/>
    <col min="16" max="16" width="9.28515625" bestFit="1" customWidth="1"/>
  </cols>
  <sheetData>
    <row r="1" spans="1:16" x14ac:dyDescent="0.2">
      <c r="A1" s="38" t="s">
        <v>29</v>
      </c>
      <c r="B1" s="39" t="s">
        <v>30</v>
      </c>
      <c r="C1" s="39" t="s">
        <v>52</v>
      </c>
      <c r="D1" s="39" t="s">
        <v>31</v>
      </c>
      <c r="E1" s="40" t="s">
        <v>53</v>
      </c>
      <c r="F1" s="39"/>
      <c r="G1" s="39" t="s">
        <v>1</v>
      </c>
      <c r="H1" s="41" t="s">
        <v>32</v>
      </c>
      <c r="J1" s="43" t="s">
        <v>33</v>
      </c>
      <c r="K1" s="44" t="s">
        <v>69</v>
      </c>
    </row>
    <row r="2" spans="1:16" x14ac:dyDescent="0.2">
      <c r="A2" s="42">
        <v>40544</v>
      </c>
      <c r="B2" s="63">
        <v>42369</v>
      </c>
      <c r="C2" s="18">
        <v>17904.72</v>
      </c>
      <c r="D2" s="18">
        <v>2209.56</v>
      </c>
      <c r="E2" s="18">
        <v>1000</v>
      </c>
      <c r="F2" s="18"/>
      <c r="G2" s="18">
        <v>6371.01</v>
      </c>
      <c r="H2" s="35">
        <f>SUM(C2:G2)</f>
        <v>27485.29</v>
      </c>
      <c r="J2" s="43" t="s">
        <v>34</v>
      </c>
      <c r="K2" s="2">
        <f>+tfr!C2</f>
        <v>42094</v>
      </c>
    </row>
    <row r="3" spans="1:16" x14ac:dyDescent="0.2">
      <c r="A3" s="42"/>
      <c r="B3" s="63"/>
      <c r="C3" s="18"/>
      <c r="D3" s="18"/>
      <c r="E3" s="18"/>
      <c r="F3" s="18"/>
      <c r="G3" s="18"/>
      <c r="H3" s="35"/>
      <c r="J3" s="43" t="s">
        <v>35</v>
      </c>
      <c r="K3" s="2">
        <f>EDATE(K2+1,-12)</f>
        <v>41730</v>
      </c>
      <c r="N3" t="s">
        <v>54</v>
      </c>
    </row>
    <row r="4" spans="1:16" x14ac:dyDescent="0.2">
      <c r="A4" s="42"/>
      <c r="B4" s="63"/>
      <c r="C4" s="18"/>
      <c r="D4" s="18"/>
      <c r="E4" s="80"/>
      <c r="F4" s="18"/>
      <c r="G4" s="18"/>
      <c r="H4" s="35"/>
      <c r="J4" s="43" t="s">
        <v>36</v>
      </c>
      <c r="K4" s="11">
        <f>DATE(YEAR(K3),MONTH(K3)+1,1)-K3</f>
        <v>30</v>
      </c>
    </row>
    <row r="5" spans="1:16" x14ac:dyDescent="0.2">
      <c r="A5" s="45"/>
      <c r="B5" s="46"/>
      <c r="C5" s="47"/>
      <c r="D5" s="47"/>
      <c r="E5" s="47"/>
      <c r="F5" s="47"/>
      <c r="G5" s="47"/>
      <c r="H5" s="48"/>
      <c r="J5" s="43" t="s">
        <v>37</v>
      </c>
      <c r="K5" s="37">
        <f>IF(YEAR(K2)&lt;&gt;YEAR(K3),12-MONTH(K3)+(K4&gt;15),0)</f>
        <v>9</v>
      </c>
      <c r="N5" s="81" t="s">
        <v>55</v>
      </c>
      <c r="O5" s="74" t="s">
        <v>56</v>
      </c>
      <c r="P5" s="77"/>
    </row>
    <row r="6" spans="1:16" x14ac:dyDescent="0.2">
      <c r="J6" s="43"/>
      <c r="K6" s="37"/>
      <c r="N6" s="78"/>
      <c r="O6" s="18" t="s">
        <v>57</v>
      </c>
      <c r="P6" s="35"/>
    </row>
    <row r="7" spans="1:16" x14ac:dyDescent="0.2">
      <c r="A7" t="s">
        <v>23</v>
      </c>
      <c r="N7" s="78"/>
      <c r="O7" s="18" t="s">
        <v>58</v>
      </c>
      <c r="P7" s="35"/>
    </row>
    <row r="8" spans="1:16" x14ac:dyDescent="0.2">
      <c r="A8" s="52" t="s">
        <v>38</v>
      </c>
      <c r="B8" s="53" t="s">
        <v>21</v>
      </c>
      <c r="C8" s="53" t="str">
        <f>+C1</f>
        <v>voci base</v>
      </c>
      <c r="D8" s="53" t="str">
        <f>+D1</f>
        <v>maturato</v>
      </c>
      <c r="E8" s="53" t="str">
        <f>+E1</f>
        <v>voci no tred</v>
      </c>
      <c r="F8" s="53">
        <f>+F1</f>
        <v>0</v>
      </c>
      <c r="G8" s="54" t="s">
        <v>24</v>
      </c>
      <c r="H8" s="54" t="s">
        <v>1</v>
      </c>
      <c r="I8" s="53" t="s">
        <v>25</v>
      </c>
      <c r="J8" s="55" t="s">
        <v>39</v>
      </c>
      <c r="N8" s="78" t="s">
        <v>59</v>
      </c>
      <c r="O8" s="18" t="s">
        <v>60</v>
      </c>
      <c r="P8" s="35">
        <v>1000</v>
      </c>
    </row>
    <row r="9" spans="1:16" x14ac:dyDescent="0.2">
      <c r="A9" s="56">
        <f>IF(DAY(K3)&lt;&gt;1,K3,K3-1)</f>
        <v>41729</v>
      </c>
      <c r="B9" s="57">
        <f>30-B21</f>
        <v>0</v>
      </c>
      <c r="C9" s="58">
        <f>ROUND(VLOOKUP($A9,$A$2:$C$5,3)/12*B9/30,2)</f>
        <v>0</v>
      </c>
      <c r="D9" s="58">
        <f>ROUND(VLOOKUP($A9,$A$2:$D$5,4)/12*$B9/30,2)</f>
        <v>0</v>
      </c>
      <c r="E9" s="58">
        <f>ROUND(VLOOKUP($A9,$A$2:$E$5,5)/12*$B9/30,2)</f>
        <v>0</v>
      </c>
      <c r="F9" s="58">
        <f>ROUND(VLOOKUP($A9,$A$2:$F$5,6)/12*$B9/30,2)</f>
        <v>0</v>
      </c>
      <c r="G9" s="59">
        <f>SUM(C9:F9)</f>
        <v>0</v>
      </c>
      <c r="H9" s="59">
        <f>ROUND(G2/12*B9/30,2)</f>
        <v>0</v>
      </c>
      <c r="I9" s="58">
        <f>IF(MONTH($A9)=12,ROUND(($G9-$E9)/MAX(($B9),1)*30*$K$5/12,2),0)</f>
        <v>0</v>
      </c>
      <c r="J9" s="60">
        <f>IF(MONTH($A9)=12,ROUND($H9/MAX($B9,1)*30*$K$5/12,2),0)</f>
        <v>0</v>
      </c>
      <c r="N9" s="78" t="s">
        <v>61</v>
      </c>
      <c r="O9" s="18" t="s">
        <v>62</v>
      </c>
      <c r="P9" s="35"/>
    </row>
    <row r="10" spans="1:16" x14ac:dyDescent="0.2">
      <c r="A10" s="56">
        <f>IF(DAY(K3)=1,K3,DATE(YEAR(A9),MONTH(A9)+1,1))</f>
        <v>41730</v>
      </c>
      <c r="B10" s="57">
        <v>30</v>
      </c>
      <c r="C10" s="58">
        <f>ROUND(VLOOKUP($A10,$A$2:$C$5,3)/12*B10/30,2)</f>
        <v>1492.06</v>
      </c>
      <c r="D10" s="58">
        <f>ROUND(VLOOKUP($A10,$A$2:$D$5,4)/12*$B10/30,2)</f>
        <v>184.13</v>
      </c>
      <c r="E10" s="58">
        <f>ROUND(VLOOKUP($A10,$A$2:$E$5,5)/12*$B10/30,2)</f>
        <v>83.33</v>
      </c>
      <c r="F10" s="58">
        <f>ROUND(VLOOKUP($A10,$A$2:$F$5,6)/12*$B10/30,2)</f>
        <v>0</v>
      </c>
      <c r="G10" s="59">
        <f t="shared" ref="G10:G21" si="0">SUM(C10:F10)</f>
        <v>1759.52</v>
      </c>
      <c r="H10" s="59">
        <f>ROUND($G$2/12*B10/30,2)</f>
        <v>530.91999999999996</v>
      </c>
      <c r="I10" s="58">
        <f>IF(MONTH($A10)=12,ROUND(($G10-$E10)/$B10*30*$K$5/12,2),0)</f>
        <v>0</v>
      </c>
      <c r="J10" s="60">
        <f t="shared" ref="J10:J20" si="1">IF(MONTH($A10)=12,ROUND($H10/$B10*30*$K$5/12,2),0)</f>
        <v>0</v>
      </c>
      <c r="N10" s="78" t="s">
        <v>63</v>
      </c>
      <c r="O10" s="18" t="s">
        <v>64</v>
      </c>
      <c r="P10" s="35"/>
    </row>
    <row r="11" spans="1:16" x14ac:dyDescent="0.2">
      <c r="A11" s="56">
        <f>EDATE(A10,1)</f>
        <v>41760</v>
      </c>
      <c r="B11" s="57">
        <v>30</v>
      </c>
      <c r="C11" s="58">
        <f t="shared" ref="C11:C20" si="2">ROUND(VLOOKUP($A11,$A$2:$C$5,3)/12*B11/30,2)</f>
        <v>1492.06</v>
      </c>
      <c r="D11" s="58">
        <f t="shared" ref="D11:D20" si="3">ROUND(VLOOKUP($A11,$A$2:$D$5,4)/12*$B11/30,2)</f>
        <v>184.13</v>
      </c>
      <c r="E11" s="58">
        <f t="shared" ref="E11:E20" si="4">ROUND(VLOOKUP($A11,$A$2:$E$5,5)/12*$B11/30,2)</f>
        <v>83.33</v>
      </c>
      <c r="F11" s="58">
        <f t="shared" ref="F11:F20" si="5">ROUND(VLOOKUP($A11,$A$2:$F$5,6)/12*$B11/30,2)</f>
        <v>0</v>
      </c>
      <c r="G11" s="59">
        <f t="shared" si="0"/>
        <v>1759.52</v>
      </c>
      <c r="H11" s="59">
        <f t="shared" ref="H11:H20" si="6">ROUND($G$2/12*B11/30,2)</f>
        <v>530.91999999999996</v>
      </c>
      <c r="I11" s="58">
        <f>IF(MONTH($A11)=12,ROUND(($G11-$E11)/$B11*30*$K$5/12,2),0)</f>
        <v>0</v>
      </c>
      <c r="J11" s="60">
        <f t="shared" si="1"/>
        <v>0</v>
      </c>
      <c r="K11" s="23"/>
      <c r="N11" s="79"/>
      <c r="O11" s="69"/>
      <c r="P11" s="84"/>
    </row>
    <row r="12" spans="1:16" ht="13.5" thickBot="1" x14ac:dyDescent="0.25">
      <c r="A12" s="56">
        <f t="shared" ref="A12:A21" si="7">EDATE(A11,1)</f>
        <v>41791</v>
      </c>
      <c r="B12" s="57">
        <v>30</v>
      </c>
      <c r="C12" s="58">
        <f t="shared" si="2"/>
        <v>1492.06</v>
      </c>
      <c r="D12" s="58">
        <f t="shared" si="3"/>
        <v>184.13</v>
      </c>
      <c r="E12" s="58">
        <f t="shared" si="4"/>
        <v>83.33</v>
      </c>
      <c r="F12" s="58">
        <f t="shared" si="5"/>
        <v>0</v>
      </c>
      <c r="G12" s="59">
        <f t="shared" si="0"/>
        <v>1759.52</v>
      </c>
      <c r="H12" s="59">
        <f t="shared" si="6"/>
        <v>530.91999999999996</v>
      </c>
      <c r="I12" s="58">
        <f>IF(MONTH($A12)=12,ROUND(($G12-$E12)/$B12*30*$K$5/12,2),0)</f>
        <v>0</v>
      </c>
      <c r="J12" s="60">
        <f t="shared" si="1"/>
        <v>0</v>
      </c>
      <c r="K12" s="2"/>
      <c r="N12" s="82"/>
      <c r="O12" s="83" t="s">
        <v>22</v>
      </c>
      <c r="P12" s="85">
        <f>SUM(P5:P11)</f>
        <v>1000</v>
      </c>
    </row>
    <row r="13" spans="1:16" ht="13.5" thickTop="1" x14ac:dyDescent="0.2">
      <c r="A13" s="56">
        <f t="shared" si="7"/>
        <v>41821</v>
      </c>
      <c r="B13" s="57">
        <v>30</v>
      </c>
      <c r="C13" s="58">
        <f t="shared" si="2"/>
        <v>1492.06</v>
      </c>
      <c r="D13" s="58">
        <f t="shared" si="3"/>
        <v>184.13</v>
      </c>
      <c r="E13" s="58">
        <f t="shared" si="4"/>
        <v>83.33</v>
      </c>
      <c r="F13" s="58">
        <f t="shared" si="5"/>
        <v>0</v>
      </c>
      <c r="G13" s="59">
        <f t="shared" si="0"/>
        <v>1759.52</v>
      </c>
      <c r="H13" s="59">
        <f t="shared" si="6"/>
        <v>530.91999999999996</v>
      </c>
      <c r="I13" s="58">
        <f t="shared" ref="I13:I20" si="8">IF(MONTH($A13)=12,ROUND(($G13-$E13)/$B13*30*$K$5/12,2),0)</f>
        <v>0</v>
      </c>
      <c r="J13" s="60">
        <f t="shared" si="1"/>
        <v>0</v>
      </c>
      <c r="K13" s="24"/>
    </row>
    <row r="14" spans="1:16" x14ac:dyDescent="0.2">
      <c r="A14" s="56">
        <f t="shared" si="7"/>
        <v>41852</v>
      </c>
      <c r="B14" s="57">
        <v>30</v>
      </c>
      <c r="C14" s="58">
        <f t="shared" si="2"/>
        <v>1492.06</v>
      </c>
      <c r="D14" s="58">
        <f t="shared" si="3"/>
        <v>184.13</v>
      </c>
      <c r="E14" s="58">
        <f t="shared" si="4"/>
        <v>83.33</v>
      </c>
      <c r="F14" s="58">
        <f t="shared" si="5"/>
        <v>0</v>
      </c>
      <c r="G14" s="59">
        <f t="shared" si="0"/>
        <v>1759.52</v>
      </c>
      <c r="H14" s="59">
        <f t="shared" si="6"/>
        <v>530.91999999999996</v>
      </c>
      <c r="I14" s="58">
        <f t="shared" si="8"/>
        <v>0</v>
      </c>
      <c r="J14" s="60">
        <f t="shared" si="1"/>
        <v>0</v>
      </c>
    </row>
    <row r="15" spans="1:16" x14ac:dyDescent="0.2">
      <c r="A15" s="56">
        <f t="shared" si="7"/>
        <v>41883</v>
      </c>
      <c r="B15" s="57">
        <v>30</v>
      </c>
      <c r="C15" s="58">
        <f t="shared" si="2"/>
        <v>1492.06</v>
      </c>
      <c r="D15" s="58">
        <f t="shared" si="3"/>
        <v>184.13</v>
      </c>
      <c r="E15" s="58">
        <f t="shared" si="4"/>
        <v>83.33</v>
      </c>
      <c r="F15" s="58">
        <f t="shared" si="5"/>
        <v>0</v>
      </c>
      <c r="G15" s="59">
        <f t="shared" si="0"/>
        <v>1759.52</v>
      </c>
      <c r="H15" s="59">
        <f t="shared" si="6"/>
        <v>530.91999999999996</v>
      </c>
      <c r="I15" s="58">
        <f t="shared" si="8"/>
        <v>0</v>
      </c>
      <c r="J15" s="60">
        <f t="shared" si="1"/>
        <v>0</v>
      </c>
    </row>
    <row r="16" spans="1:16" x14ac:dyDescent="0.2">
      <c r="A16" s="56">
        <f t="shared" si="7"/>
        <v>41913</v>
      </c>
      <c r="B16" s="57">
        <v>30</v>
      </c>
      <c r="C16" s="58">
        <f t="shared" si="2"/>
        <v>1492.06</v>
      </c>
      <c r="D16" s="58">
        <f t="shared" si="3"/>
        <v>184.13</v>
      </c>
      <c r="E16" s="58">
        <f t="shared" si="4"/>
        <v>83.33</v>
      </c>
      <c r="F16" s="58">
        <f t="shared" si="5"/>
        <v>0</v>
      </c>
      <c r="G16" s="59">
        <f t="shared" si="0"/>
        <v>1759.52</v>
      </c>
      <c r="H16" s="59">
        <f t="shared" si="6"/>
        <v>530.91999999999996</v>
      </c>
      <c r="I16" s="58">
        <f t="shared" si="8"/>
        <v>0</v>
      </c>
      <c r="J16" s="60">
        <f t="shared" si="1"/>
        <v>0</v>
      </c>
      <c r="M16" s="11"/>
      <c r="N16" s="11"/>
      <c r="O16" s="11"/>
    </row>
    <row r="17" spans="1:15" x14ac:dyDescent="0.2">
      <c r="A17" s="56">
        <f t="shared" si="7"/>
        <v>41944</v>
      </c>
      <c r="B17" s="57">
        <v>30</v>
      </c>
      <c r="C17" s="58">
        <f t="shared" si="2"/>
        <v>1492.06</v>
      </c>
      <c r="D17" s="58">
        <f t="shared" si="3"/>
        <v>184.13</v>
      </c>
      <c r="E17" s="58">
        <f t="shared" si="4"/>
        <v>83.33</v>
      </c>
      <c r="F17" s="58">
        <f t="shared" si="5"/>
        <v>0</v>
      </c>
      <c r="G17" s="59">
        <f t="shared" si="0"/>
        <v>1759.52</v>
      </c>
      <c r="H17" s="59">
        <f t="shared" si="6"/>
        <v>530.91999999999996</v>
      </c>
      <c r="I17" s="58">
        <f t="shared" si="8"/>
        <v>0</v>
      </c>
      <c r="J17" s="60">
        <f t="shared" si="1"/>
        <v>0</v>
      </c>
      <c r="M17" s="11"/>
      <c r="N17" s="11"/>
      <c r="O17" s="11"/>
    </row>
    <row r="18" spans="1:15" x14ac:dyDescent="0.2">
      <c r="A18" s="56">
        <f t="shared" si="7"/>
        <v>41974</v>
      </c>
      <c r="B18" s="57">
        <v>30</v>
      </c>
      <c r="C18" s="58">
        <f t="shared" si="2"/>
        <v>1492.06</v>
      </c>
      <c r="D18" s="58">
        <f t="shared" si="3"/>
        <v>184.13</v>
      </c>
      <c r="E18" s="58">
        <f t="shared" si="4"/>
        <v>83.33</v>
      </c>
      <c r="F18" s="58">
        <f t="shared" si="5"/>
        <v>0</v>
      </c>
      <c r="G18" s="59">
        <f t="shared" si="0"/>
        <v>1759.52</v>
      </c>
      <c r="H18" s="59">
        <f t="shared" si="6"/>
        <v>530.91999999999996</v>
      </c>
      <c r="I18" s="58">
        <f t="shared" si="8"/>
        <v>1257.1400000000001</v>
      </c>
      <c r="J18" s="60">
        <f t="shared" si="1"/>
        <v>398.19</v>
      </c>
      <c r="M18" s="11"/>
      <c r="N18" s="11"/>
      <c r="O18" s="11"/>
    </row>
    <row r="19" spans="1:15" x14ac:dyDescent="0.2">
      <c r="A19" s="56">
        <f t="shared" si="7"/>
        <v>42005</v>
      </c>
      <c r="B19" s="57">
        <v>30</v>
      </c>
      <c r="C19" s="58">
        <f t="shared" si="2"/>
        <v>1492.06</v>
      </c>
      <c r="D19" s="58">
        <f t="shared" si="3"/>
        <v>184.13</v>
      </c>
      <c r="E19" s="58">
        <f t="shared" si="4"/>
        <v>83.33</v>
      </c>
      <c r="F19" s="58">
        <f t="shared" si="5"/>
        <v>0</v>
      </c>
      <c r="G19" s="59">
        <f t="shared" si="0"/>
        <v>1759.52</v>
      </c>
      <c r="H19" s="59">
        <f t="shared" si="6"/>
        <v>530.91999999999996</v>
      </c>
      <c r="I19" s="58">
        <f t="shared" si="8"/>
        <v>0</v>
      </c>
      <c r="J19" s="60">
        <f t="shared" si="1"/>
        <v>0</v>
      </c>
      <c r="M19" s="11"/>
      <c r="N19" s="11"/>
      <c r="O19" s="11"/>
    </row>
    <row r="20" spans="1:15" x14ac:dyDescent="0.2">
      <c r="A20" s="56">
        <f t="shared" si="7"/>
        <v>42036</v>
      </c>
      <c r="B20" s="57">
        <v>30</v>
      </c>
      <c r="C20" s="58">
        <f t="shared" si="2"/>
        <v>1492.06</v>
      </c>
      <c r="D20" s="58">
        <f t="shared" si="3"/>
        <v>184.13</v>
      </c>
      <c r="E20" s="58">
        <f t="shared" si="4"/>
        <v>83.33</v>
      </c>
      <c r="F20" s="58">
        <f t="shared" si="5"/>
        <v>0</v>
      </c>
      <c r="G20" s="59">
        <f t="shared" si="0"/>
        <v>1759.52</v>
      </c>
      <c r="H20" s="59">
        <f t="shared" si="6"/>
        <v>530.91999999999996</v>
      </c>
      <c r="I20" s="58">
        <f t="shared" si="8"/>
        <v>0</v>
      </c>
      <c r="J20" s="60">
        <f t="shared" si="1"/>
        <v>0</v>
      </c>
      <c r="K20" s="12"/>
      <c r="L20" s="11"/>
      <c r="M20" s="11"/>
      <c r="N20" s="11"/>
      <c r="O20" s="11"/>
    </row>
    <row r="21" spans="1:15" x14ac:dyDescent="0.2">
      <c r="A21" s="56">
        <f t="shared" si="7"/>
        <v>42064</v>
      </c>
      <c r="B21" s="57">
        <f>DAYS360(A21,K2+1)</f>
        <v>30</v>
      </c>
      <c r="C21" s="58">
        <f>ROUND(VLOOKUP($A21,$A$2:$C$5,3)/12*B21/30,2)</f>
        <v>1492.06</v>
      </c>
      <c r="D21" s="58">
        <f>ROUND(VLOOKUP($A21,$A$2:$D$5,4)/12*$B21/30,2)</f>
        <v>184.13</v>
      </c>
      <c r="E21" s="58">
        <f>ROUND(VLOOKUP($A21,$A$2:$E$5,5)/12*$B21/30,2)</f>
        <v>83.33</v>
      </c>
      <c r="F21" s="58">
        <f>ROUND(VLOOKUP($A21,$A$2:$F$5,6)/12*$B21/30,2)</f>
        <v>0</v>
      </c>
      <c r="G21" s="59">
        <f t="shared" si="0"/>
        <v>1759.52</v>
      </c>
      <c r="H21" s="59">
        <f>ROUND(G2/12*B21/30,2)</f>
        <v>530.91999999999996</v>
      </c>
      <c r="I21" s="58">
        <f>ROUND(($G21-$E21)/$B21*30*(12-$K$5)/12,2)</f>
        <v>419.05</v>
      </c>
      <c r="J21" s="60">
        <f>ROUND($H21/$B21*30*(12-$K$5)/12,2)</f>
        <v>132.72999999999999</v>
      </c>
      <c r="L21" s="11"/>
      <c r="M21" s="11"/>
      <c r="N21" s="11"/>
      <c r="O21" s="11"/>
    </row>
    <row r="22" spans="1:15" x14ac:dyDescent="0.2">
      <c r="A22" s="56" t="s">
        <v>40</v>
      </c>
      <c r="B22" s="57"/>
      <c r="C22" s="58">
        <f>SUM(C9:C21)</f>
        <v>17904.719999999998</v>
      </c>
      <c r="D22" s="58">
        <f t="shared" ref="D22:J22" si="9">SUM(D9:D21)</f>
        <v>2209.5600000000004</v>
      </c>
      <c r="E22" s="58">
        <f t="shared" si="9"/>
        <v>999.96000000000015</v>
      </c>
      <c r="F22" s="58">
        <f t="shared" si="9"/>
        <v>0</v>
      </c>
      <c r="G22" s="59">
        <f t="shared" si="9"/>
        <v>21114.240000000002</v>
      </c>
      <c r="H22" s="59">
        <f t="shared" si="9"/>
        <v>6371.04</v>
      </c>
      <c r="I22" s="58">
        <f t="shared" si="9"/>
        <v>1676.19</v>
      </c>
      <c r="J22" s="60">
        <f t="shared" si="9"/>
        <v>530.91999999999996</v>
      </c>
      <c r="K22" s="64"/>
      <c r="L22" s="12"/>
      <c r="M22" s="11"/>
      <c r="N22" s="11"/>
      <c r="O22" s="11"/>
    </row>
    <row r="23" spans="1:15" x14ac:dyDescent="0.2">
      <c r="M23" s="11"/>
      <c r="N23" s="11"/>
      <c r="O23" s="11"/>
    </row>
    <row r="24" spans="1:15" x14ac:dyDescent="0.2">
      <c r="G24" s="44" t="s">
        <v>26</v>
      </c>
      <c r="H24" s="49">
        <f>SUM(G22:J22)</f>
        <v>29692.39</v>
      </c>
    </row>
    <row r="25" spans="1:15" x14ac:dyDescent="0.2">
      <c r="H25" s="11"/>
    </row>
    <row r="26" spans="1:15" x14ac:dyDescent="0.2">
      <c r="A26" s="43" t="s">
        <v>65</v>
      </c>
      <c r="F26" s="12"/>
      <c r="G26" s="43" t="s">
        <v>27</v>
      </c>
    </row>
    <row r="27" spans="1:15" x14ac:dyDescent="0.2">
      <c r="J27" s="11"/>
      <c r="K27" s="11"/>
    </row>
    <row r="28" spans="1:15" x14ac:dyDescent="0.2">
      <c r="A28" s="65" t="s">
        <v>29</v>
      </c>
      <c r="B28" s="65" t="s">
        <v>30</v>
      </c>
      <c r="C28" s="66" t="s">
        <v>42</v>
      </c>
      <c r="D28" s="65" t="s">
        <v>41</v>
      </c>
      <c r="E28" s="65" t="s">
        <v>43</v>
      </c>
      <c r="G28" s="39" t="s">
        <v>47</v>
      </c>
      <c r="H28" s="36"/>
      <c r="I28" s="74">
        <f>+H24</f>
        <v>29692.39</v>
      </c>
      <c r="J28" s="11"/>
    </row>
    <row r="29" spans="1:15" x14ac:dyDescent="0.2">
      <c r="A29" s="67">
        <v>28657</v>
      </c>
      <c r="B29" s="76">
        <v>42094</v>
      </c>
      <c r="C29" s="36">
        <f>DAYS360(A29,B29+1)</f>
        <v>13245</v>
      </c>
      <c r="D29" s="36">
        <v>36</v>
      </c>
      <c r="E29" s="36">
        <f>ROUND(C29*D29/36,0)</f>
        <v>13245</v>
      </c>
      <c r="G29" s="62" t="s">
        <v>48</v>
      </c>
      <c r="H29" s="3"/>
      <c r="I29" s="3">
        <f>+E41</f>
        <v>37</v>
      </c>
      <c r="J29" s="11"/>
      <c r="K29" s="11"/>
      <c r="M29" s="43"/>
    </row>
    <row r="30" spans="1:15" x14ac:dyDescent="0.2">
      <c r="A30" s="63"/>
      <c r="B30" s="63"/>
      <c r="C30" s="3"/>
      <c r="D30" s="3"/>
      <c r="E30" s="3"/>
      <c r="F30" s="11"/>
      <c r="G30" s="69" t="s">
        <v>27</v>
      </c>
      <c r="H30" s="69"/>
      <c r="I30" s="75">
        <f>ROUND(I28*I29*0.8/15,2)</f>
        <v>58592.98</v>
      </c>
      <c r="J30" s="11"/>
    </row>
    <row r="31" spans="1:15" x14ac:dyDescent="0.2">
      <c r="A31" s="63"/>
      <c r="B31" s="63"/>
      <c r="C31" s="3"/>
      <c r="D31" s="3"/>
      <c r="E31" s="3"/>
      <c r="F31" s="11"/>
      <c r="J31" s="11"/>
    </row>
    <row r="32" spans="1:15" x14ac:dyDescent="0.2">
      <c r="A32" s="63"/>
      <c r="B32" s="63"/>
      <c r="C32" s="3"/>
      <c r="D32" s="3"/>
      <c r="E32" s="3"/>
      <c r="F32" s="11"/>
      <c r="J32" s="11"/>
    </row>
    <row r="33" spans="1:10" x14ac:dyDescent="0.2">
      <c r="A33" s="63"/>
      <c r="B33" s="63"/>
      <c r="C33" s="3"/>
      <c r="D33" s="3"/>
      <c r="E33" s="3"/>
      <c r="F33" s="11"/>
      <c r="J33" s="11"/>
    </row>
    <row r="34" spans="1:10" x14ac:dyDescent="0.2">
      <c r="A34" s="63"/>
      <c r="B34" s="68"/>
      <c r="C34" s="3"/>
      <c r="D34" s="3"/>
      <c r="E34" s="3"/>
      <c r="G34" s="43"/>
    </row>
    <row r="35" spans="1:10" x14ac:dyDescent="0.2">
      <c r="A35" s="46"/>
      <c r="B35" s="46"/>
      <c r="C35" s="69"/>
      <c r="D35" s="69"/>
      <c r="E35" s="69">
        <f>ROUND(C35*D35/36,0)</f>
        <v>0</v>
      </c>
      <c r="F35" s="11"/>
      <c r="G35" s="43"/>
      <c r="I35" s="43"/>
    </row>
    <row r="36" spans="1:10" x14ac:dyDescent="0.2">
      <c r="A36" s="70"/>
      <c r="B36" s="71"/>
      <c r="C36" s="71">
        <f>SUM(C29:C35)</f>
        <v>13245</v>
      </c>
      <c r="D36" s="72" t="s">
        <v>44</v>
      </c>
      <c r="E36" s="71">
        <f>SUM(E29:E35)</f>
        <v>13245</v>
      </c>
      <c r="F36" s="11"/>
      <c r="G36" s="43"/>
    </row>
    <row r="37" spans="1:10" x14ac:dyDescent="0.2">
      <c r="C37">
        <f>INT(C36/360)</f>
        <v>36</v>
      </c>
      <c r="D37" s="43" t="s">
        <v>45</v>
      </c>
      <c r="E37">
        <f>INT(E36/360)</f>
        <v>36</v>
      </c>
      <c r="F37" s="11"/>
    </row>
    <row r="38" spans="1:10" x14ac:dyDescent="0.2">
      <c r="C38">
        <f>INT((C36-C37*360)/30)</f>
        <v>9</v>
      </c>
      <c r="D38" s="43" t="s">
        <v>7</v>
      </c>
      <c r="E38">
        <f>INT((E36-E37*360)/30)</f>
        <v>9</v>
      </c>
      <c r="F38" s="11"/>
      <c r="G38" s="43"/>
    </row>
    <row r="39" spans="1:10" x14ac:dyDescent="0.2">
      <c r="C39">
        <f>C36-C37*360-C38*30</f>
        <v>15</v>
      </c>
      <c r="D39" s="43" t="s">
        <v>21</v>
      </c>
      <c r="E39">
        <f>E36-E37*360-E38*30</f>
        <v>15</v>
      </c>
      <c r="F39" s="11"/>
      <c r="G39" s="11"/>
      <c r="H39" s="11"/>
      <c r="I39" s="11"/>
      <c r="J39" s="11"/>
    </row>
    <row r="40" spans="1:10" x14ac:dyDescent="0.2">
      <c r="F40" s="11"/>
      <c r="G40" s="11"/>
      <c r="H40" s="11"/>
      <c r="I40" s="11"/>
      <c r="J40" s="11"/>
    </row>
    <row r="41" spans="1:10" x14ac:dyDescent="0.2">
      <c r="C41" s="51"/>
      <c r="D41" s="73" t="s">
        <v>46</v>
      </c>
      <c r="E41" s="44">
        <f>ROUND(E36/360,0)</f>
        <v>37</v>
      </c>
      <c r="F41" s="11"/>
      <c r="G41" s="11"/>
      <c r="H41" s="11"/>
      <c r="I41" s="11"/>
      <c r="J41" s="11"/>
    </row>
    <row r="42" spans="1:10" x14ac:dyDescent="0.2">
      <c r="D42" s="11"/>
      <c r="E42" s="11"/>
      <c r="F42" s="11"/>
      <c r="G42" s="11"/>
      <c r="H42" s="11"/>
    </row>
    <row r="43" spans="1:10" x14ac:dyDescent="0.2">
      <c r="E43" s="11"/>
      <c r="F43" s="11"/>
      <c r="G43" s="11"/>
      <c r="H43" s="11"/>
    </row>
    <row r="44" spans="1:10" x14ac:dyDescent="0.2">
      <c r="D44" s="11"/>
      <c r="E44" s="11"/>
      <c r="F44" s="11"/>
      <c r="G44" s="11"/>
      <c r="H44" s="11"/>
    </row>
    <row r="45" spans="1:10" x14ac:dyDescent="0.2">
      <c r="D45" s="11"/>
      <c r="E45" s="11"/>
      <c r="F45" s="11"/>
      <c r="G45" s="11"/>
      <c r="H45" s="11"/>
    </row>
    <row r="46" spans="1:10" x14ac:dyDescent="0.2">
      <c r="D46" s="11"/>
      <c r="E46" s="11"/>
      <c r="F46" s="11"/>
      <c r="G46" s="11"/>
      <c r="H46" s="11"/>
    </row>
    <row r="47" spans="1:10" x14ac:dyDescent="0.2">
      <c r="D47" s="11"/>
      <c r="E47" s="11"/>
      <c r="F47" s="11"/>
      <c r="G47" s="11"/>
      <c r="H47" s="11"/>
      <c r="I47" s="11"/>
      <c r="J47" s="11"/>
    </row>
    <row r="48" spans="1:10" x14ac:dyDescent="0.2">
      <c r="D48" s="11"/>
      <c r="E48" s="11"/>
    </row>
    <row r="49" spans="1:5" x14ac:dyDescent="0.2">
      <c r="A49" s="2"/>
      <c r="C49" s="11"/>
      <c r="D49" s="11"/>
      <c r="E49" s="11"/>
    </row>
    <row r="50" spans="1:5" x14ac:dyDescent="0.2">
      <c r="D50" s="11"/>
      <c r="E50" s="11"/>
    </row>
  </sheetData>
  <phoneticPr fontId="8" type="noConversion"/>
  <dataValidations count="6">
    <dataValidation type="list" allowBlank="1" showInputMessage="1" showErrorMessage="1" sqref="P6">
      <formula1>"0,1300"</formula1>
    </dataValidation>
    <dataValidation type="list" allowBlank="1" showInputMessage="1" showErrorMessage="1" sqref="P7">
      <formula1>"0,650"</formula1>
    </dataValidation>
    <dataValidation type="list" allowBlank="1" showInputMessage="1" showErrorMessage="1" sqref="P8">
      <formula1>"0,700,1000"</formula1>
    </dataValidation>
    <dataValidation type="list" allowBlank="1" showInputMessage="1" showErrorMessage="1" sqref="P9">
      <formula1>"0,336"</formula1>
    </dataValidation>
    <dataValidation type="list" allowBlank="1" showInputMessage="1" showErrorMessage="1" sqref="P10">
      <formula1>"0,312,477"</formula1>
    </dataValidation>
    <dataValidation type="list" allowBlank="1" showInputMessage="1" showErrorMessage="1" sqref="P5">
      <formula1>"0,1570,83,2166,67"</formula1>
    </dataValidation>
  </dataValidations>
  <pageMargins left="0.75" right="0.75" top="1" bottom="1" header="0.5" footer="0.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tfr</vt:lpstr>
      <vt:lpstr>inadel</vt:lpstr>
      <vt:lpstr>tfr!Titoli_stampa</vt:lpstr>
    </vt:vector>
  </TitlesOfParts>
  <Company>COMUNE DI LAVIS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Voltolini Davide</dc:creator>
  <cp:lastModifiedBy>Chiara Simoni</cp:lastModifiedBy>
  <cp:lastPrinted>2015-12-28T08:21:46Z</cp:lastPrinted>
  <dcterms:created xsi:type="dcterms:W3CDTF">1999-06-22T08:21:17Z</dcterms:created>
  <dcterms:modified xsi:type="dcterms:W3CDTF">2015-12-28T08:24:43Z</dcterms:modified>
</cp:coreProperties>
</file>